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4675" windowHeight="1179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E157" i="1"/>
  <c r="E160" s="1"/>
  <c r="E41"/>
  <c r="D157"/>
  <c r="D160" s="1"/>
  <c r="B155"/>
  <c r="B154"/>
  <c r="B153"/>
  <c r="B150"/>
  <c r="B148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1"/>
  <c r="B107"/>
  <c r="B106"/>
  <c r="B105"/>
  <c r="B103"/>
  <c r="B102"/>
  <c r="B101"/>
  <c r="B100"/>
  <c r="B99"/>
  <c r="B98"/>
  <c r="B97"/>
  <c r="B96"/>
  <c r="B94"/>
  <c r="B93"/>
  <c r="B91"/>
  <c r="B90"/>
  <c r="B89"/>
  <c r="B88"/>
  <c r="B87"/>
  <c r="B86"/>
  <c r="B85"/>
  <c r="B83"/>
  <c r="B82"/>
  <c r="B81"/>
  <c r="B78"/>
  <c r="B75"/>
  <c r="B74"/>
  <c r="B72"/>
  <c r="B70"/>
  <c r="B69"/>
  <c r="B67"/>
  <c r="B64"/>
  <c r="B62"/>
  <c r="B61"/>
  <c r="B59"/>
  <c r="B58"/>
  <c r="B56"/>
  <c r="B55"/>
  <c r="B54"/>
  <c r="B53"/>
  <c r="B51"/>
  <c r="B50"/>
  <c r="B49"/>
  <c r="B47"/>
  <c r="B44"/>
  <c r="B43"/>
  <c r="B42"/>
  <c r="D41"/>
  <c r="D159" s="1"/>
  <c r="B38"/>
  <c r="B33"/>
  <c r="B27"/>
  <c r="B25"/>
  <c r="B23"/>
  <c r="B22"/>
  <c r="B21"/>
  <c r="B19"/>
  <c r="B18"/>
  <c r="B17"/>
  <c r="B16"/>
  <c r="B15"/>
  <c r="E158" l="1"/>
  <c r="E159"/>
  <c r="E161" s="1"/>
  <c r="D161"/>
  <c r="D158"/>
</calcChain>
</file>

<file path=xl/comments1.xml><?xml version="1.0" encoding="utf-8"?>
<comments xmlns="http://schemas.openxmlformats.org/spreadsheetml/2006/main">
  <authors>
    <author>Helena Psaros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Helena Psaros:</t>
        </r>
        <r>
          <rPr>
            <sz val="9"/>
            <color indexed="81"/>
            <rFont val="Tahoma"/>
            <family val="2"/>
          </rPr>
          <t xml:space="preserve">
Fram till 2016-03-01 "Intäker Öl"
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Helena Psaros:</t>
        </r>
        <r>
          <rPr>
            <sz val="9"/>
            <color indexed="81"/>
            <rFont val="Tahoma"/>
            <family val="2"/>
          </rPr>
          <t xml:space="preserve">
Belyser svinn bättre!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Helena Psaros:</t>
        </r>
        <r>
          <rPr>
            <sz val="9"/>
            <color indexed="81"/>
            <rFont val="Tahoma"/>
            <family val="2"/>
          </rPr>
          <t xml:space="preserve">
Spotify ligger här!</t>
        </r>
      </text>
    </comment>
    <comment ref="D53" authorId="0">
      <text>
        <r>
          <rPr>
            <b/>
            <sz val="9"/>
            <color indexed="81"/>
            <rFont val="Tahoma"/>
            <family val="2"/>
          </rPr>
          <t>Helena Psaros:</t>
        </r>
        <r>
          <rPr>
            <sz val="9"/>
            <color indexed="81"/>
            <rFont val="Tahoma"/>
            <family val="2"/>
          </rPr>
          <t xml:space="preserve">
Stängt, flytta tiill 4155</t>
        </r>
      </text>
    </comment>
    <comment ref="D71" authorId="0">
      <text>
        <r>
          <rPr>
            <b/>
            <sz val="9"/>
            <color indexed="81"/>
            <rFont val="Tahoma"/>
            <family val="2"/>
          </rPr>
          <t>Helena Psaros:</t>
        </r>
        <r>
          <rPr>
            <sz val="9"/>
            <color indexed="81"/>
            <rFont val="Tahoma"/>
            <family val="2"/>
          </rPr>
          <t xml:space="preserve">
Nytt 2016-03-05
</t>
        </r>
      </text>
    </comment>
    <comment ref="F73" authorId="0">
      <text>
        <r>
          <rPr>
            <b/>
            <sz val="9"/>
            <color indexed="81"/>
            <rFont val="Tahoma"/>
            <family val="2"/>
          </rPr>
          <t>Helena Psaros:</t>
        </r>
        <r>
          <rPr>
            <sz val="9"/>
            <color indexed="81"/>
            <rFont val="Tahoma"/>
            <family val="2"/>
          </rPr>
          <t xml:space="preserve">
Här låg stängsel?
</t>
        </r>
      </text>
    </comment>
    <comment ref="D84" authorId="0">
      <text>
        <r>
          <rPr>
            <b/>
            <sz val="9"/>
            <color indexed="81"/>
            <rFont val="Tahoma"/>
            <family val="2"/>
          </rPr>
          <t xml:space="preserve">Elias Collin:
</t>
        </r>
        <r>
          <rPr>
            <sz val="9"/>
            <color indexed="81"/>
            <rFont val="Tahoma"/>
            <family val="2"/>
          </rPr>
          <t xml:space="preserve">Förändrade Villkor för kortbetalning.
Från 1.50 till 1.5%
</t>
        </r>
      </text>
    </comment>
    <comment ref="D146" authorId="0">
      <text>
        <r>
          <rPr>
            <b/>
            <sz val="9"/>
            <color indexed="81"/>
            <rFont val="Tahoma"/>
            <family val="2"/>
          </rPr>
          <t>Elias Collin:</t>
        </r>
        <r>
          <rPr>
            <sz val="9"/>
            <color indexed="81"/>
            <rFont val="Tahoma"/>
            <family val="2"/>
          </rPr>
          <t xml:space="preserve">
Lol högre arbetsgivaravgift
</t>
        </r>
      </text>
    </comment>
  </commentList>
</comments>
</file>

<file path=xl/sharedStrings.xml><?xml version="1.0" encoding="utf-8"?>
<sst xmlns="http://schemas.openxmlformats.org/spreadsheetml/2006/main" count="210" uniqueCount="206">
  <si>
    <t>Konto</t>
  </si>
  <si>
    <t>Benämning</t>
  </si>
  <si>
    <t>Nationsavgifter</t>
  </si>
  <si>
    <t>Bidrag</t>
  </si>
  <si>
    <t>Intäkter sprit</t>
  </si>
  <si>
    <t>Intäkter vin</t>
  </si>
  <si>
    <t>Intäkter flasköl</t>
  </si>
  <si>
    <t>Intäkter läsk/juice</t>
  </si>
  <si>
    <t>Intäkter kaffe</t>
  </si>
  <si>
    <t>3115</t>
  </si>
  <si>
    <t>Intäkter cider</t>
  </si>
  <si>
    <t>3116</t>
  </si>
  <si>
    <t>Intäkter Fatöl</t>
  </si>
  <si>
    <t>Intäkter släpp</t>
  </si>
  <si>
    <t>Intäkter garderob</t>
  </si>
  <si>
    <t>Intäkter tobak</t>
  </si>
  <si>
    <t>Intäkter mat</t>
  </si>
  <si>
    <t>Intäkt mat gasque</t>
  </si>
  <si>
    <t>Intäkt gemensam gasque</t>
  </si>
  <si>
    <t>Förändring Barlager</t>
  </si>
  <si>
    <t>3191</t>
  </si>
  <si>
    <t>Förändring lager GBG-shoppen</t>
  </si>
  <si>
    <t>Förändring tobakslager</t>
  </si>
  <si>
    <t>Förändring matlager</t>
  </si>
  <si>
    <t>GBG shopen</t>
  </si>
  <si>
    <t>3221</t>
  </si>
  <si>
    <t>Försäljning gästkort</t>
  </si>
  <si>
    <t>Försäljning sångbok</t>
  </si>
  <si>
    <t>3240</t>
  </si>
  <si>
    <t>Kopiering, fax, utskrift</t>
  </si>
  <si>
    <t>Diverse intäkter</t>
  </si>
  <si>
    <t>3640</t>
  </si>
  <si>
    <t>Faktureringsavgifter</t>
  </si>
  <si>
    <t>3690</t>
  </si>
  <si>
    <t>Övriga sidointäkter</t>
  </si>
  <si>
    <t>3500</t>
  </si>
  <si>
    <t>Intäkter för Vidarefakturering</t>
  </si>
  <si>
    <t>3510</t>
  </si>
  <si>
    <t>Fakturerad påminnelseavgift</t>
  </si>
  <si>
    <t>3520</t>
  </si>
  <si>
    <t>Marknadsföringsbidrag</t>
  </si>
  <si>
    <t>3740</t>
  </si>
  <si>
    <t>Öresutjämning</t>
  </si>
  <si>
    <t>3911</t>
  </si>
  <si>
    <t>Hyresintäkter</t>
  </si>
  <si>
    <t>3921</t>
  </si>
  <si>
    <t>provisionsintäkter</t>
  </si>
  <si>
    <t>3960</t>
  </si>
  <si>
    <t>Valutakursvinster</t>
  </si>
  <si>
    <t>Övr ersättn och intäkter</t>
  </si>
  <si>
    <t>3991</t>
  </si>
  <si>
    <t>Intäkter arvodesfodringar</t>
  </si>
  <si>
    <t>3999</t>
  </si>
  <si>
    <t>Påminnelseavgifter</t>
  </si>
  <si>
    <t>Intäkter</t>
  </si>
  <si>
    <t>Kostnad sprit</t>
  </si>
  <si>
    <t>Kostnad vin</t>
  </si>
  <si>
    <t>Kostnad Flasköl</t>
  </si>
  <si>
    <t>4031</t>
  </si>
  <si>
    <t>Kostnad Fatöl</t>
  </si>
  <si>
    <t>4035</t>
  </si>
  <si>
    <t>Kostnad cider</t>
  </si>
  <si>
    <t>Kostnad läsk, lättöl, juice</t>
  </si>
  <si>
    <t>4045</t>
  </si>
  <si>
    <t>Kostnad kaffe</t>
  </si>
  <si>
    <t>Kostnad tobak</t>
  </si>
  <si>
    <t>Kostnad mat</t>
  </si>
  <si>
    <t>(Inköp mat gasque)</t>
  </si>
  <si>
    <t>4070</t>
  </si>
  <si>
    <t>Omkostnader 3Q förbrukning</t>
  </si>
  <si>
    <t>Omkostnad puben engångs</t>
  </si>
  <si>
    <t>Omkostnader gasquer</t>
  </si>
  <si>
    <t>Ljud &amp; Ljus</t>
  </si>
  <si>
    <t>Bordsdekoration</t>
  </si>
  <si>
    <t>4110</t>
  </si>
  <si>
    <t>Kassadifferens</t>
  </si>
  <si>
    <t>Emballage, dricka (inköp)</t>
  </si>
  <si>
    <t>Pubjobbar/ämbetsmannafest</t>
  </si>
  <si>
    <t>4136</t>
  </si>
  <si>
    <t>Kostnader Ämbetsmän</t>
  </si>
  <si>
    <t>Omkostnader städ</t>
  </si>
  <si>
    <t>Omkostnader förbrukningsvaror</t>
  </si>
  <si>
    <t>4156</t>
  </si>
  <si>
    <t>Omkostnader Öltapp</t>
  </si>
  <si>
    <t>Glas &amp; Servis</t>
  </si>
  <si>
    <t>4165</t>
  </si>
  <si>
    <t>Kostnader gemensam gasque</t>
  </si>
  <si>
    <t>4180</t>
  </si>
  <si>
    <t>Kostnader för Vidarefakturering</t>
  </si>
  <si>
    <t>5010</t>
  </si>
  <si>
    <t>Hyra Fastigheten</t>
  </si>
  <si>
    <t>Städning &amp; Renhållning</t>
  </si>
  <si>
    <t>Fastighetskötsel och förvaltning</t>
  </si>
  <si>
    <t>5194</t>
  </si>
  <si>
    <t>Nationsgraven</t>
  </si>
  <si>
    <t>Hyra av maskiner</t>
  </si>
  <si>
    <t>5220</t>
  </si>
  <si>
    <t>Hyra av inventarier och verktyg</t>
  </si>
  <si>
    <t>Reparation och underhåll</t>
  </si>
  <si>
    <t>Underhåll och tvätt av arbetskläder</t>
  </si>
  <si>
    <t>5710</t>
  </si>
  <si>
    <t>Frakt och transport</t>
  </si>
  <si>
    <t>5800</t>
  </si>
  <si>
    <t>Resekostnader</t>
  </si>
  <si>
    <t>Biljetter</t>
  </si>
  <si>
    <t>5830</t>
  </si>
  <si>
    <t>Logi</t>
  </si>
  <si>
    <t>5890</t>
  </si>
  <si>
    <t>Övriga resekostnader</t>
  </si>
  <si>
    <t>Annonsering</t>
  </si>
  <si>
    <t>Reklamtrycksaker</t>
  </si>
  <si>
    <t>Övriga kostnader för reklam och PR</t>
  </si>
  <si>
    <t>6040</t>
  </si>
  <si>
    <t>Kontokortsavgifter</t>
  </si>
  <si>
    <t>Personligt rep 1Q -ht</t>
  </si>
  <si>
    <t>Personligt rep 1Q -vt</t>
  </si>
  <si>
    <t>Personligt rep 2Q</t>
  </si>
  <si>
    <t>Personligt rep 3q -ht</t>
  </si>
  <si>
    <t>Personligt rep 3q vt</t>
  </si>
  <si>
    <t>Representation</t>
  </si>
  <si>
    <t>Rep Kuratorer</t>
  </si>
  <si>
    <t>6078</t>
  </si>
  <si>
    <t>Terminskort kuratel</t>
  </si>
  <si>
    <t>Mötesverksamhet</t>
  </si>
  <si>
    <t>Besök till &amp; fr vännationer</t>
  </si>
  <si>
    <t>6090</t>
  </si>
  <si>
    <t>övriga försäljningskostnader</t>
  </si>
  <si>
    <t>Kontorsmaterial</t>
  </si>
  <si>
    <t>Kopiering</t>
  </si>
  <si>
    <t>Trycksaker</t>
  </si>
  <si>
    <t>Fotoverksamhet</t>
  </si>
  <si>
    <t>Telekommunikation</t>
  </si>
  <si>
    <t>Datamaterial</t>
  </si>
  <si>
    <t>Postbefordran</t>
  </si>
  <si>
    <t>Halta Lejon</t>
  </si>
  <si>
    <t>6350</t>
  </si>
  <si>
    <t>Förluster på kundfodringar</t>
  </si>
  <si>
    <t>Kostnader för bevakning och larm</t>
  </si>
  <si>
    <t>Tillsynsavgifter</t>
  </si>
  <si>
    <t>Anticimex</t>
  </si>
  <si>
    <t>6390</t>
  </si>
  <si>
    <t>Övriga kostnader</t>
  </si>
  <si>
    <t>6530</t>
  </si>
  <si>
    <t>Redovisningstjänster</t>
  </si>
  <si>
    <t>6540</t>
  </si>
  <si>
    <t>IT-tjänster</t>
  </si>
  <si>
    <t>Bankkostnader</t>
  </si>
  <si>
    <t>6571</t>
  </si>
  <si>
    <t>Inkassokostnader</t>
  </si>
  <si>
    <t>6911</t>
  </si>
  <si>
    <t>STIMavgifter</t>
  </si>
  <si>
    <t>Tidningar, tidskrifter och facklitt</t>
  </si>
  <si>
    <t>Arkivkostnader</t>
  </si>
  <si>
    <t>Spex</t>
  </si>
  <si>
    <t>Recceverksamhet</t>
  </si>
  <si>
    <t>Idrott</t>
  </si>
  <si>
    <t>Kulturanslag</t>
  </si>
  <si>
    <t>Radio</t>
  </si>
  <si>
    <t>Diverse övriga utgifter, avdragsgilla</t>
  </si>
  <si>
    <t>Ämbetsmannaarvoden</t>
  </si>
  <si>
    <t>Arvode 1q -ht</t>
  </si>
  <si>
    <t>Arvode 1q -vt</t>
  </si>
  <si>
    <t>Arvode 2q ht/vt ändrad</t>
  </si>
  <si>
    <t>Arvode 3q -ht</t>
  </si>
  <si>
    <t>Arvode 3q -vt</t>
  </si>
  <si>
    <t>Arvode Biblo</t>
  </si>
  <si>
    <t>Arvode HT klv 1</t>
  </si>
  <si>
    <t>Arvode HT klv 2</t>
  </si>
  <si>
    <t>Arvode HT klv 3</t>
  </si>
  <si>
    <t>Arvode HT klv 4</t>
  </si>
  <si>
    <t>Arvode HT klv 5</t>
  </si>
  <si>
    <t>Arvode HT klv 6</t>
  </si>
  <si>
    <t>Arvode HT klv 7</t>
  </si>
  <si>
    <t>Arvode VT klv 1</t>
  </si>
  <si>
    <t>Arvode VT klv 2</t>
  </si>
  <si>
    <t>Arvode VT klv 3</t>
  </si>
  <si>
    <t>Arvode VT klv 4</t>
  </si>
  <si>
    <t>Arvode VT klv 5</t>
  </si>
  <si>
    <t>Arvode VT klv 6</t>
  </si>
  <si>
    <t>Arvode VT klv 7</t>
  </si>
  <si>
    <t>Vaktlöner</t>
  </si>
  <si>
    <t>löner kuratorer</t>
  </si>
  <si>
    <t>löner personal</t>
  </si>
  <si>
    <t>7510</t>
  </si>
  <si>
    <t>Sociala avgifter</t>
  </si>
  <si>
    <t>7589</t>
  </si>
  <si>
    <t>Försäkringspremier</t>
  </si>
  <si>
    <t>Utbildning</t>
  </si>
  <si>
    <t>7690</t>
  </si>
  <si>
    <t>Övr.pers. Kostnader och erhållna bidrag</t>
  </si>
  <si>
    <t>Avskr på maskiner och inventarier</t>
  </si>
  <si>
    <t>8300</t>
  </si>
  <si>
    <t>Ränteintäkter</t>
  </si>
  <si>
    <t>8313</t>
  </si>
  <si>
    <t>ränteintäkter kundfodringar</t>
  </si>
  <si>
    <t>Räntekostnader</t>
  </si>
  <si>
    <t>Ränta leverantörsfakturor</t>
  </si>
  <si>
    <t>Övriga finansiella kostnader</t>
  </si>
  <si>
    <t>8845</t>
  </si>
  <si>
    <t>Avsättning fonder</t>
  </si>
  <si>
    <t>Kostnader</t>
  </si>
  <si>
    <t>Resultat</t>
  </si>
  <si>
    <t>Summa</t>
  </si>
  <si>
    <t>Resultat 14/15</t>
  </si>
  <si>
    <t>Förslag på Budget 16/17</t>
  </si>
  <si>
    <t>Budget 15/16</t>
  </si>
</sst>
</file>

<file path=xl/styles.xml><?xml version="1.0" encoding="utf-8"?>
<styleSheet xmlns="http://schemas.openxmlformats.org/spreadsheetml/2006/main">
  <numFmts count="5"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_-* #,##0\ &quot;kr&quot;_-;\-* #,##0\ &quot;kr&quot;_-;_-* &quot;-&quot;??\ &quot;kr&quot;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33CC3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9"/>
        <bgColor indexed="29"/>
      </patternFill>
    </fill>
    <fill>
      <patternFill patternType="solid">
        <fgColor indexed="53"/>
        <bgColor indexed="2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0" borderId="0"/>
  </cellStyleXfs>
  <cellXfs count="64">
    <xf numFmtId="0" fontId="0" fillId="0" borderId="0" xfId="0"/>
    <xf numFmtId="164" fontId="4" fillId="0" borderId="0" xfId="1" applyNumberFormat="1" applyFont="1"/>
    <xf numFmtId="164" fontId="4" fillId="0" borderId="0" xfId="1" applyNumberFormat="1" applyFont="1" applyBorder="1"/>
    <xf numFmtId="0" fontId="6" fillId="0" borderId="0" xfId="0" applyFont="1" applyBorder="1"/>
    <xf numFmtId="0" fontId="6" fillId="0" borderId="1" xfId="0" applyFont="1" applyBorder="1"/>
    <xf numFmtId="0" fontId="6" fillId="0" borderId="2" xfId="0" applyFont="1" applyBorder="1"/>
    <xf numFmtId="164" fontId="6" fillId="0" borderId="3" xfId="1" applyNumberFormat="1" applyFont="1" applyBorder="1"/>
    <xf numFmtId="0" fontId="7" fillId="4" borderId="1" xfId="3" applyFont="1" applyFill="1" applyBorder="1" applyAlignment="1">
      <alignment horizontal="left"/>
    </xf>
    <xf numFmtId="0" fontId="7" fillId="4" borderId="2" xfId="3" applyFont="1" applyFill="1" applyBorder="1"/>
    <xf numFmtId="41" fontId="0" fillId="0" borderId="4" xfId="2" applyFont="1" applyBorder="1"/>
    <xf numFmtId="41" fontId="0" fillId="0" borderId="5" xfId="2" applyFont="1" applyBorder="1"/>
    <xf numFmtId="49" fontId="7" fillId="4" borderId="1" xfId="3" applyNumberFormat="1" applyFont="1" applyFill="1" applyBorder="1"/>
    <xf numFmtId="49" fontId="7" fillId="4" borderId="2" xfId="3" applyNumberFormat="1" applyFont="1" applyFill="1" applyBorder="1"/>
    <xf numFmtId="49" fontId="7" fillId="4" borderId="6" xfId="3" applyNumberFormat="1" applyFont="1" applyFill="1" applyBorder="1"/>
    <xf numFmtId="49" fontId="7" fillId="4" borderId="7" xfId="3" applyNumberFormat="1" applyFont="1" applyFill="1" applyBorder="1"/>
    <xf numFmtId="41" fontId="0" fillId="0" borderId="8" xfId="2" applyFont="1" applyBorder="1"/>
    <xf numFmtId="49" fontId="7" fillId="4" borderId="9" xfId="3" applyNumberFormat="1" applyFont="1" applyFill="1" applyBorder="1"/>
    <xf numFmtId="49" fontId="8" fillId="4" borderId="10" xfId="3" applyNumberFormat="1" applyFont="1" applyFill="1" applyBorder="1"/>
    <xf numFmtId="41" fontId="0" fillId="0" borderId="11" xfId="2" applyFont="1" applyBorder="1"/>
    <xf numFmtId="49" fontId="7" fillId="5" borderId="12" xfId="4" applyNumberFormat="1" applyFont="1" applyFill="1" applyBorder="1"/>
    <xf numFmtId="49" fontId="7" fillId="5" borderId="13" xfId="4" applyNumberFormat="1" applyFont="1" applyFill="1" applyBorder="1"/>
    <xf numFmtId="41" fontId="0" fillId="0" borderId="4" xfId="2" applyFont="1" applyFill="1" applyBorder="1"/>
    <xf numFmtId="49" fontId="7" fillId="5" borderId="1" xfId="4" applyNumberFormat="1" applyFont="1" applyFill="1" applyBorder="1"/>
    <xf numFmtId="49" fontId="7" fillId="5" borderId="2" xfId="4" applyNumberFormat="1" applyFont="1" applyFill="1" applyBorder="1"/>
    <xf numFmtId="41" fontId="0" fillId="0" borderId="5" xfId="2" applyFont="1" applyFill="1" applyBorder="1"/>
    <xf numFmtId="0" fontId="0" fillId="5" borderId="1" xfId="0" applyFont="1" applyFill="1" applyBorder="1" applyAlignment="1">
      <alignment horizontal="left"/>
    </xf>
    <xf numFmtId="0" fontId="0" fillId="5" borderId="2" xfId="0" applyFill="1" applyBorder="1"/>
    <xf numFmtId="49" fontId="7" fillId="5" borderId="9" xfId="4" applyNumberFormat="1" applyFont="1" applyFill="1" applyBorder="1"/>
    <xf numFmtId="49" fontId="7" fillId="5" borderId="10" xfId="4" applyNumberFormat="1" applyFont="1" applyFill="1" applyBorder="1"/>
    <xf numFmtId="41" fontId="0" fillId="0" borderId="14" xfId="2" applyFont="1" applyBorder="1"/>
    <xf numFmtId="0" fontId="0" fillId="0" borderId="0" xfId="0" applyFont="1"/>
    <xf numFmtId="164" fontId="0" fillId="6" borderId="16" xfId="1" applyNumberFormat="1" applyFont="1" applyFill="1" applyBorder="1"/>
    <xf numFmtId="164" fontId="0" fillId="0" borderId="15" xfId="1" applyNumberFormat="1" applyFont="1" applyBorder="1"/>
    <xf numFmtId="164" fontId="0" fillId="0" borderId="16" xfId="1" applyNumberFormat="1" applyFont="1" applyBorder="1"/>
    <xf numFmtId="164" fontId="0" fillId="0" borderId="0" xfId="1" applyNumberFormat="1" applyFont="1"/>
    <xf numFmtId="164" fontId="0" fillId="0" borderId="14" xfId="1" applyNumberFormat="1" applyFont="1" applyBorder="1"/>
    <xf numFmtId="0" fontId="0" fillId="0" borderId="18" xfId="0" applyFont="1" applyBorder="1"/>
    <xf numFmtId="0" fontId="0" fillId="0" borderId="19" xfId="0" applyFont="1" applyBorder="1"/>
    <xf numFmtId="49" fontId="9" fillId="7" borderId="20" xfId="0" applyNumberFormat="1" applyFont="1" applyFill="1" applyBorder="1"/>
    <xf numFmtId="0" fontId="0" fillId="0" borderId="20" xfId="0" applyFont="1" applyBorder="1"/>
    <xf numFmtId="0" fontId="6" fillId="0" borderId="17" xfId="0" applyFont="1" applyBorder="1"/>
    <xf numFmtId="49" fontId="0" fillId="6" borderId="20" xfId="0" applyNumberFormat="1" applyFill="1" applyBorder="1"/>
    <xf numFmtId="165" fontId="4" fillId="0" borderId="0" xfId="1" applyNumberFormat="1" applyFont="1"/>
    <xf numFmtId="165" fontId="4" fillId="0" borderId="0" xfId="1" applyNumberFormat="1" applyFont="1" applyBorder="1"/>
    <xf numFmtId="165" fontId="6" fillId="0" borderId="3" xfId="1" applyNumberFormat="1" applyFont="1" applyBorder="1"/>
    <xf numFmtId="165" fontId="0" fillId="0" borderId="11" xfId="2" applyNumberFormat="1" applyFont="1" applyBorder="1"/>
    <xf numFmtId="165" fontId="0" fillId="0" borderId="0" xfId="1" applyNumberFormat="1" applyFont="1"/>
    <xf numFmtId="41" fontId="0" fillId="0" borderId="21" xfId="2" applyFont="1" applyBorder="1"/>
    <xf numFmtId="41" fontId="0" fillId="0" borderId="22" xfId="2" applyFont="1" applyBorder="1"/>
    <xf numFmtId="41" fontId="0" fillId="0" borderId="23" xfId="2" applyFont="1" applyBorder="1"/>
    <xf numFmtId="41" fontId="0" fillId="0" borderId="24" xfId="2" applyFont="1" applyBorder="1"/>
    <xf numFmtId="165" fontId="0" fillId="0" borderId="25" xfId="2" applyNumberFormat="1" applyFont="1" applyBorder="1"/>
    <xf numFmtId="165" fontId="1" fillId="0" borderId="5" xfId="5" applyNumberFormat="1" applyBorder="1"/>
    <xf numFmtId="165" fontId="4" fillId="0" borderId="5" xfId="1" applyNumberFormat="1" applyFont="1" applyBorder="1"/>
    <xf numFmtId="165" fontId="0" fillId="0" borderId="5" xfId="2" applyNumberFormat="1" applyFont="1" applyBorder="1"/>
    <xf numFmtId="165" fontId="1" fillId="0" borderId="25" xfId="5" applyNumberFormat="1" applyBorder="1"/>
    <xf numFmtId="44" fontId="0" fillId="0" borderId="5" xfId="0" applyNumberFormat="1" applyFont="1" applyBorder="1"/>
    <xf numFmtId="165" fontId="0" fillId="0" borderId="3" xfId="2" applyNumberFormat="1" applyFont="1" applyBorder="1"/>
    <xf numFmtId="165" fontId="0" fillId="0" borderId="26" xfId="1" applyNumberFormat="1" applyFont="1" applyBorder="1"/>
    <xf numFmtId="165" fontId="0" fillId="6" borderId="3" xfId="1" applyNumberFormat="1" applyFont="1" applyFill="1" applyBorder="1"/>
    <xf numFmtId="165" fontId="0" fillId="0" borderId="3" xfId="1" applyNumberFormat="1" applyFont="1" applyBorder="1"/>
    <xf numFmtId="0" fontId="5" fillId="0" borderId="0" xfId="0" applyFont="1" applyBorder="1"/>
    <xf numFmtId="164" fontId="6" fillId="0" borderId="20" xfId="1" applyNumberFormat="1" applyFont="1" applyBorder="1"/>
    <xf numFmtId="164" fontId="0" fillId="0" borderId="27" xfId="1" applyNumberFormat="1" applyFont="1" applyBorder="1"/>
  </cellXfs>
  <cellStyles count="6">
    <cellStyle name="Bra" xfId="3" builtinId="26"/>
    <cellStyle name="Dålig" xfId="4" builtinId="27"/>
    <cellStyle name="Normal" xfId="0" builtinId="0"/>
    <cellStyle name="Normal 2" xfId="5"/>
    <cellStyle name="Tusental" xfId="1" builtinId="3"/>
    <cellStyle name="Tusental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3"/>
  <sheetViews>
    <sheetView tabSelected="1" workbookViewId="0">
      <selection activeCell="D8" sqref="D8"/>
    </sheetView>
  </sheetViews>
  <sheetFormatPr defaultRowHeight="15"/>
  <cols>
    <col min="2" max="2" width="7" customWidth="1"/>
    <col min="3" max="3" width="34.42578125" bestFit="1" customWidth="1"/>
    <col min="4" max="5" width="33.140625" style="1" customWidth="1"/>
    <col min="6" max="6" width="18.7109375" style="42" customWidth="1"/>
    <col min="9" max="9" width="28.5703125" style="1" customWidth="1"/>
  </cols>
  <sheetData>
    <row r="1" spans="2:9" ht="15.75">
      <c r="B1" s="61"/>
      <c r="C1" s="61"/>
      <c r="D1" s="2"/>
      <c r="E1" s="2"/>
      <c r="F1" s="43"/>
    </row>
    <row r="2" spans="2:9" ht="15.75" thickBot="1">
      <c r="B2" s="3"/>
      <c r="C2" s="3"/>
      <c r="D2" s="2"/>
      <c r="E2" s="2"/>
      <c r="F2" s="43"/>
      <c r="I2" s="2"/>
    </row>
    <row r="3" spans="2:9" ht="15.75" thickBot="1">
      <c r="B3" s="4" t="s">
        <v>0</v>
      </c>
      <c r="C3" s="5" t="s">
        <v>1</v>
      </c>
      <c r="D3" s="6" t="s">
        <v>204</v>
      </c>
      <c r="E3" s="62" t="s">
        <v>205</v>
      </c>
      <c r="F3" s="44" t="s">
        <v>203</v>
      </c>
      <c r="I3" s="2"/>
    </row>
    <row r="4" spans="2:9">
      <c r="B4" s="7">
        <v>3010</v>
      </c>
      <c r="C4" s="8" t="s">
        <v>2</v>
      </c>
      <c r="D4" s="9">
        <v>190000</v>
      </c>
      <c r="E4" s="48">
        <v>190000</v>
      </c>
      <c r="F4" s="51">
        <v>203000</v>
      </c>
    </row>
    <row r="5" spans="2:9">
      <c r="B5" s="7">
        <v>3012</v>
      </c>
      <c r="C5" s="8" t="s">
        <v>3</v>
      </c>
      <c r="D5" s="9"/>
      <c r="E5" s="48"/>
      <c r="F5" s="52">
        <v>-12646</v>
      </c>
    </row>
    <row r="6" spans="2:9">
      <c r="B6" s="7">
        <v>3110</v>
      </c>
      <c r="C6" s="8" t="s">
        <v>4</v>
      </c>
      <c r="D6" s="10">
        <v>650000</v>
      </c>
      <c r="E6" s="47">
        <v>620000</v>
      </c>
      <c r="F6" s="52">
        <v>657156.62</v>
      </c>
    </row>
    <row r="7" spans="2:9">
      <c r="B7" s="7">
        <v>3111</v>
      </c>
      <c r="C7" s="8" t="s">
        <v>5</v>
      </c>
      <c r="D7" s="10">
        <v>150000</v>
      </c>
      <c r="E7" s="47">
        <v>105000</v>
      </c>
      <c r="F7" s="52">
        <v>156965.17000000001</v>
      </c>
    </row>
    <row r="8" spans="2:9">
      <c r="B8" s="7">
        <v>3112</v>
      </c>
      <c r="C8" s="8" t="s">
        <v>6</v>
      </c>
      <c r="D8" s="10">
        <v>370000</v>
      </c>
      <c r="E8" s="47">
        <v>700000</v>
      </c>
      <c r="F8" s="52">
        <v>788879.33</v>
      </c>
    </row>
    <row r="9" spans="2:9">
      <c r="B9" s="7">
        <v>3113</v>
      </c>
      <c r="C9" s="8" t="s">
        <v>7</v>
      </c>
      <c r="D9" s="10">
        <v>20000</v>
      </c>
      <c r="E9" s="47">
        <v>30000</v>
      </c>
      <c r="F9" s="52">
        <v>16024.25</v>
      </c>
    </row>
    <row r="10" spans="2:9">
      <c r="B10" s="7">
        <v>3114</v>
      </c>
      <c r="C10" s="8" t="s">
        <v>8</v>
      </c>
      <c r="D10" s="10">
        <v>6000</v>
      </c>
      <c r="E10" s="47">
        <v>6000</v>
      </c>
      <c r="F10" s="52">
        <v>3385.5</v>
      </c>
    </row>
    <row r="11" spans="2:9">
      <c r="B11" s="11" t="s">
        <v>9</v>
      </c>
      <c r="C11" s="12" t="s">
        <v>10</v>
      </c>
      <c r="D11" s="10">
        <v>160000</v>
      </c>
      <c r="E11" s="47">
        <v>150000</v>
      </c>
      <c r="F11" s="52">
        <v>175610.06</v>
      </c>
    </row>
    <row r="12" spans="2:9">
      <c r="B12" s="11" t="s">
        <v>11</v>
      </c>
      <c r="C12" s="12" t="s">
        <v>12</v>
      </c>
      <c r="D12" s="10">
        <v>370000</v>
      </c>
      <c r="E12" s="47"/>
      <c r="F12" s="53"/>
    </row>
    <row r="13" spans="2:9">
      <c r="B13" s="7">
        <v>3131</v>
      </c>
      <c r="C13" s="8" t="s">
        <v>13</v>
      </c>
      <c r="D13" s="10">
        <v>120000</v>
      </c>
      <c r="E13" s="47">
        <v>100000</v>
      </c>
      <c r="F13" s="52">
        <v>269940</v>
      </c>
    </row>
    <row r="14" spans="2:9">
      <c r="B14" s="7">
        <v>3132</v>
      </c>
      <c r="C14" s="8" t="s">
        <v>14</v>
      </c>
      <c r="D14" s="10">
        <v>10000</v>
      </c>
      <c r="E14" s="47">
        <v>10000</v>
      </c>
      <c r="F14" s="52">
        <v>19851</v>
      </c>
    </row>
    <row r="15" spans="2:9" hidden="1">
      <c r="B15" s="11" t="str">
        <f>"3140"</f>
        <v>3140</v>
      </c>
      <c r="C15" s="12" t="s">
        <v>15</v>
      </c>
      <c r="D15" s="10">
        <v>0</v>
      </c>
      <c r="E15" s="47">
        <v>0</v>
      </c>
      <c r="F15" s="54">
        <v>0</v>
      </c>
    </row>
    <row r="16" spans="2:9">
      <c r="B16" s="11" t="str">
        <f>"3150"</f>
        <v>3150</v>
      </c>
      <c r="C16" s="12" t="s">
        <v>16</v>
      </c>
      <c r="D16" s="10">
        <v>450000</v>
      </c>
      <c r="E16" s="47">
        <v>360000</v>
      </c>
      <c r="F16" s="52">
        <v>690916.77</v>
      </c>
    </row>
    <row r="17" spans="2:6" hidden="1">
      <c r="B17" s="11" t="str">
        <f>"3155"</f>
        <v>3155</v>
      </c>
      <c r="C17" s="12" t="s">
        <v>17</v>
      </c>
      <c r="D17" s="10">
        <v>0</v>
      </c>
      <c r="E17" s="47">
        <v>0</v>
      </c>
      <c r="F17" s="54">
        <v>0</v>
      </c>
    </row>
    <row r="18" spans="2:6" hidden="1">
      <c r="B18" s="11" t="str">
        <f>"3165"</f>
        <v>3165</v>
      </c>
      <c r="C18" s="12" t="s">
        <v>18</v>
      </c>
      <c r="D18" s="10">
        <v>0</v>
      </c>
      <c r="E18" s="47">
        <v>0</v>
      </c>
      <c r="F18" s="54">
        <v>0</v>
      </c>
    </row>
    <row r="19" spans="2:6" hidden="1">
      <c r="B19" s="11" t="str">
        <f>"3190"</f>
        <v>3190</v>
      </c>
      <c r="C19" s="12" t="s">
        <v>19</v>
      </c>
      <c r="D19" s="10">
        <v>0</v>
      </c>
      <c r="E19" s="47">
        <v>0</v>
      </c>
      <c r="F19" s="54">
        <v>0</v>
      </c>
    </row>
    <row r="20" spans="2:6" hidden="1">
      <c r="B20" s="11" t="s">
        <v>20</v>
      </c>
      <c r="C20" s="12" t="s">
        <v>21</v>
      </c>
      <c r="D20" s="10"/>
      <c r="E20" s="47"/>
      <c r="F20" s="54">
        <v>0</v>
      </c>
    </row>
    <row r="21" spans="2:6" hidden="1">
      <c r="B21" s="11" t="str">
        <f>"3195"</f>
        <v>3195</v>
      </c>
      <c r="C21" s="12" t="s">
        <v>22</v>
      </c>
      <c r="D21" s="10">
        <v>0</v>
      </c>
      <c r="E21" s="47">
        <v>0</v>
      </c>
      <c r="F21" s="54">
        <v>0</v>
      </c>
    </row>
    <row r="22" spans="2:6">
      <c r="B22" s="11" t="str">
        <f>"3199"</f>
        <v>3199</v>
      </c>
      <c r="C22" s="12" t="s">
        <v>23</v>
      </c>
      <c r="D22" s="10">
        <v>0</v>
      </c>
      <c r="E22" s="47">
        <v>0</v>
      </c>
      <c r="F22" s="54">
        <v>0</v>
      </c>
    </row>
    <row r="23" spans="2:6">
      <c r="B23" s="11" t="str">
        <f>"3220"</f>
        <v>3220</v>
      </c>
      <c r="C23" s="12" t="s">
        <v>24</v>
      </c>
      <c r="D23" s="10">
        <v>3000</v>
      </c>
      <c r="E23" s="47">
        <v>3000</v>
      </c>
      <c r="F23" s="52">
        <v>3186</v>
      </c>
    </row>
    <row r="24" spans="2:6">
      <c r="B24" s="11" t="s">
        <v>25</v>
      </c>
      <c r="C24" s="12" t="s">
        <v>26</v>
      </c>
      <c r="D24" s="10">
        <v>3000</v>
      </c>
      <c r="E24" s="47">
        <v>1000</v>
      </c>
      <c r="F24" s="52">
        <v>3450</v>
      </c>
    </row>
    <row r="25" spans="2:6">
      <c r="B25" s="11" t="str">
        <f>"3222"</f>
        <v>3222</v>
      </c>
      <c r="C25" s="12" t="s">
        <v>27</v>
      </c>
      <c r="D25" s="10">
        <v>1500</v>
      </c>
      <c r="E25" s="47">
        <v>2000</v>
      </c>
      <c r="F25" s="52">
        <v>1550</v>
      </c>
    </row>
    <row r="26" spans="2:6">
      <c r="B26" s="11" t="s">
        <v>28</v>
      </c>
      <c r="C26" s="12" t="s">
        <v>29</v>
      </c>
      <c r="D26" s="10">
        <v>1500</v>
      </c>
      <c r="E26" s="47">
        <v>1500</v>
      </c>
      <c r="F26" s="54">
        <v>0</v>
      </c>
    </row>
    <row r="27" spans="2:6" hidden="1">
      <c r="B27" s="11" t="str">
        <f>"3270"</f>
        <v>3270</v>
      </c>
      <c r="C27" s="12" t="s">
        <v>30</v>
      </c>
      <c r="D27" s="10">
        <v>0</v>
      </c>
      <c r="E27" s="47">
        <v>0</v>
      </c>
      <c r="F27" s="54"/>
    </row>
    <row r="28" spans="2:6" hidden="1">
      <c r="B28" s="11" t="s">
        <v>31</v>
      </c>
      <c r="C28" s="12" t="s">
        <v>32</v>
      </c>
      <c r="D28" s="10">
        <v>0</v>
      </c>
      <c r="E28" s="47">
        <v>0</v>
      </c>
      <c r="F28" s="54"/>
    </row>
    <row r="29" spans="2:6" hidden="1">
      <c r="B29" s="11" t="s">
        <v>33</v>
      </c>
      <c r="C29" s="12" t="s">
        <v>34</v>
      </c>
      <c r="D29" s="10"/>
      <c r="E29" s="47"/>
      <c r="F29" s="54"/>
    </row>
    <row r="30" spans="2:6">
      <c r="B30" s="11" t="s">
        <v>35</v>
      </c>
      <c r="C30" s="12" t="s">
        <v>36</v>
      </c>
      <c r="D30" s="10">
        <v>20000</v>
      </c>
      <c r="E30" s="47">
        <v>20000</v>
      </c>
      <c r="F30" s="52">
        <v>34770.5</v>
      </c>
    </row>
    <row r="31" spans="2:6" hidden="1">
      <c r="B31" s="11" t="s">
        <v>37</v>
      </c>
      <c r="C31" s="12" t="s">
        <v>38</v>
      </c>
      <c r="D31" s="10">
        <v>0</v>
      </c>
      <c r="E31" s="47">
        <v>0</v>
      </c>
      <c r="F31" s="54"/>
    </row>
    <row r="32" spans="2:6" hidden="1">
      <c r="B32" s="11" t="s">
        <v>39</v>
      </c>
      <c r="C32" s="12" t="s">
        <v>32</v>
      </c>
      <c r="D32" s="10">
        <v>0</v>
      </c>
      <c r="E32" s="47">
        <v>0</v>
      </c>
      <c r="F32" s="54"/>
    </row>
    <row r="33" spans="2:6" hidden="1">
      <c r="B33" s="11" t="str">
        <f>"3530"</f>
        <v>3530</v>
      </c>
      <c r="C33" s="12" t="s">
        <v>40</v>
      </c>
      <c r="D33" s="10">
        <v>0</v>
      </c>
      <c r="E33" s="47">
        <v>0</v>
      </c>
      <c r="F33" s="54"/>
    </row>
    <row r="34" spans="2:6">
      <c r="B34" s="11" t="s">
        <v>41</v>
      </c>
      <c r="C34" s="12" t="s">
        <v>42</v>
      </c>
      <c r="D34" s="10"/>
      <c r="E34" s="47"/>
      <c r="F34" s="54">
        <v>-41.67</v>
      </c>
    </row>
    <row r="35" spans="2:6">
      <c r="B35" s="11" t="s">
        <v>43</v>
      </c>
      <c r="C35" s="12" t="s">
        <v>44</v>
      </c>
      <c r="D35" s="10">
        <v>25000</v>
      </c>
      <c r="E35" s="47">
        <v>25000</v>
      </c>
      <c r="F35" s="52">
        <v>20500</v>
      </c>
    </row>
    <row r="36" spans="2:6">
      <c r="B36" s="11" t="s">
        <v>45</v>
      </c>
      <c r="C36" s="12" t="s">
        <v>46</v>
      </c>
      <c r="D36" s="10"/>
      <c r="E36" s="47"/>
      <c r="F36" s="52">
        <v>19934</v>
      </c>
    </row>
    <row r="37" spans="2:6" hidden="1">
      <c r="B37" s="11" t="s">
        <v>47</v>
      </c>
      <c r="C37" s="12" t="s">
        <v>48</v>
      </c>
      <c r="D37" s="10"/>
      <c r="E37" s="47"/>
      <c r="F37" s="54"/>
    </row>
    <row r="38" spans="2:6">
      <c r="B38" s="11" t="str">
        <f>"3990"</f>
        <v>3990</v>
      </c>
      <c r="C38" s="12" t="s">
        <v>49</v>
      </c>
      <c r="D38" s="10">
        <v>0</v>
      </c>
      <c r="E38" s="47">
        <v>0</v>
      </c>
      <c r="F38" s="52">
        <v>4862.46</v>
      </c>
    </row>
    <row r="39" spans="2:6">
      <c r="B39" s="11" t="s">
        <v>50</v>
      </c>
      <c r="C39" s="12" t="s">
        <v>51</v>
      </c>
      <c r="D39" s="10">
        <v>25000</v>
      </c>
      <c r="E39" s="47">
        <v>25000</v>
      </c>
      <c r="F39" s="53"/>
    </row>
    <row r="40" spans="2:6" hidden="1">
      <c r="B40" s="13" t="s">
        <v>52</v>
      </c>
      <c r="C40" s="14" t="s">
        <v>53</v>
      </c>
      <c r="D40" s="15"/>
      <c r="E40" s="49"/>
      <c r="F40" s="54"/>
    </row>
    <row r="41" spans="2:6" ht="15.75" thickBot="1">
      <c r="B41" s="16"/>
      <c r="C41" s="17" t="s">
        <v>54</v>
      </c>
      <c r="D41" s="18">
        <f>SUM(D4:D40)</f>
        <v>2575000</v>
      </c>
      <c r="E41" s="50">
        <f>SUM(E4:E40)</f>
        <v>2348500</v>
      </c>
      <c r="F41" s="45"/>
    </row>
    <row r="42" spans="2:6">
      <c r="B42" s="19" t="str">
        <f>"4010"</f>
        <v>4010</v>
      </c>
      <c r="C42" s="20" t="s">
        <v>55</v>
      </c>
      <c r="D42" s="21">
        <v>270000</v>
      </c>
      <c r="E42" s="48">
        <v>230000</v>
      </c>
      <c r="F42" s="55">
        <v>-276346.7</v>
      </c>
    </row>
    <row r="43" spans="2:6">
      <c r="B43" s="22" t="str">
        <f>"4020"</f>
        <v>4020</v>
      </c>
      <c r="C43" s="23" t="s">
        <v>56</v>
      </c>
      <c r="D43" s="24">
        <v>90000</v>
      </c>
      <c r="E43" s="47">
        <v>90000</v>
      </c>
      <c r="F43" s="52">
        <v>-103994.96</v>
      </c>
    </row>
    <row r="44" spans="2:6">
      <c r="B44" s="22" t="str">
        <f>"4030"</f>
        <v>4030</v>
      </c>
      <c r="C44" s="23" t="s">
        <v>57</v>
      </c>
      <c r="D44" s="24">
        <v>245000</v>
      </c>
      <c r="E44" s="47">
        <v>470000</v>
      </c>
      <c r="F44" s="52">
        <v>-511022.31</v>
      </c>
    </row>
    <row r="45" spans="2:6">
      <c r="B45" s="22" t="s">
        <v>58</v>
      </c>
      <c r="C45" s="23" t="s">
        <v>59</v>
      </c>
      <c r="D45" s="24">
        <v>245000</v>
      </c>
      <c r="E45" s="47"/>
      <c r="F45" s="52"/>
    </row>
    <row r="46" spans="2:6">
      <c r="B46" s="22" t="s">
        <v>60</v>
      </c>
      <c r="C46" s="23" t="s">
        <v>61</v>
      </c>
      <c r="D46" s="24">
        <v>110000</v>
      </c>
      <c r="E46" s="47">
        <v>100000</v>
      </c>
      <c r="F46" s="52">
        <v>-108124.81</v>
      </c>
    </row>
    <row r="47" spans="2:6">
      <c r="B47" s="22" t="str">
        <f>"4040"</f>
        <v>4040</v>
      </c>
      <c r="C47" s="23" t="s">
        <v>62</v>
      </c>
      <c r="D47" s="24">
        <v>40000</v>
      </c>
      <c r="E47" s="47">
        <v>38000</v>
      </c>
      <c r="F47" s="52">
        <v>-48692.14</v>
      </c>
    </row>
    <row r="48" spans="2:6">
      <c r="B48" s="22" t="s">
        <v>63</v>
      </c>
      <c r="C48" s="23" t="s">
        <v>64</v>
      </c>
      <c r="D48" s="24">
        <v>3000</v>
      </c>
      <c r="E48" s="47">
        <v>3000</v>
      </c>
      <c r="F48" s="52">
        <v>-2195.2399999999998</v>
      </c>
    </row>
    <row r="49" spans="2:6" hidden="1">
      <c r="B49" s="22" t="str">
        <f>"4050"</f>
        <v>4050</v>
      </c>
      <c r="C49" s="23" t="s">
        <v>65</v>
      </c>
      <c r="D49" s="24">
        <v>0</v>
      </c>
      <c r="E49" s="47">
        <v>0</v>
      </c>
      <c r="F49" s="53">
        <v>0</v>
      </c>
    </row>
    <row r="50" spans="2:6">
      <c r="B50" s="22" t="str">
        <f>"4060"</f>
        <v>4060</v>
      </c>
      <c r="C50" s="23" t="s">
        <v>66</v>
      </c>
      <c r="D50" s="24">
        <v>320000</v>
      </c>
      <c r="E50" s="47">
        <v>230000</v>
      </c>
      <c r="F50" s="56">
        <v>-381906.29</v>
      </c>
    </row>
    <row r="51" spans="2:6" hidden="1">
      <c r="B51" s="22" t="str">
        <f>"4065"</f>
        <v>4065</v>
      </c>
      <c r="C51" s="23" t="s">
        <v>67</v>
      </c>
      <c r="D51" s="10">
        <v>0</v>
      </c>
      <c r="E51" s="47">
        <v>0</v>
      </c>
      <c r="F51" s="54"/>
    </row>
    <row r="52" spans="2:6" hidden="1">
      <c r="B52" s="22" t="s">
        <v>68</v>
      </c>
      <c r="C52" s="23" t="s">
        <v>69</v>
      </c>
      <c r="D52" s="10">
        <v>0</v>
      </c>
      <c r="E52" s="47">
        <v>0</v>
      </c>
      <c r="F52" s="54"/>
    </row>
    <row r="53" spans="2:6">
      <c r="B53" s="22" t="str">
        <f>"4075"</f>
        <v>4075</v>
      </c>
      <c r="C53" s="23" t="s">
        <v>70</v>
      </c>
      <c r="D53" s="10">
        <v>0</v>
      </c>
      <c r="E53" s="47">
        <v>500</v>
      </c>
      <c r="F53" s="52">
        <v>-1955</v>
      </c>
    </row>
    <row r="54" spans="2:6" hidden="1">
      <c r="B54" s="22" t="str">
        <f>"4080"</f>
        <v>4080</v>
      </c>
      <c r="C54" s="23" t="s">
        <v>71</v>
      </c>
      <c r="D54" s="10">
        <v>0</v>
      </c>
      <c r="E54" s="47">
        <v>0</v>
      </c>
      <c r="F54" s="53"/>
    </row>
    <row r="55" spans="2:6">
      <c r="B55" s="22" t="str">
        <f>"4090"</f>
        <v>4090</v>
      </c>
      <c r="C55" s="23" t="s">
        <v>72</v>
      </c>
      <c r="D55" s="10">
        <v>70000</v>
      </c>
      <c r="E55" s="47">
        <v>70000</v>
      </c>
      <c r="F55" s="52">
        <v>-113191.53</v>
      </c>
    </row>
    <row r="56" spans="2:6">
      <c r="B56" s="22" t="str">
        <f>"4095"</f>
        <v>4095</v>
      </c>
      <c r="C56" s="23" t="s">
        <v>73</v>
      </c>
      <c r="D56" s="10">
        <v>7000</v>
      </c>
      <c r="E56" s="47">
        <v>7000</v>
      </c>
      <c r="F56" s="52">
        <v>-12205</v>
      </c>
    </row>
    <row r="57" spans="2:6" hidden="1">
      <c r="B57" s="22" t="s">
        <v>74</v>
      </c>
      <c r="C57" s="23" t="s">
        <v>75</v>
      </c>
      <c r="D57" s="10">
        <v>0</v>
      </c>
      <c r="E57" s="47">
        <v>0</v>
      </c>
      <c r="F57" s="54"/>
    </row>
    <row r="58" spans="2:6">
      <c r="B58" s="22" t="str">
        <f>"4120"</f>
        <v>4120</v>
      </c>
      <c r="C58" s="23" t="s">
        <v>76</v>
      </c>
      <c r="D58" s="10">
        <v>0</v>
      </c>
      <c r="E58" s="47">
        <v>0</v>
      </c>
      <c r="F58" s="52">
        <v>-5210.96</v>
      </c>
    </row>
    <row r="59" spans="2:6">
      <c r="B59" s="22" t="str">
        <f>"4130"</f>
        <v>4130</v>
      </c>
      <c r="C59" s="23" t="s">
        <v>77</v>
      </c>
      <c r="D59" s="10">
        <v>0</v>
      </c>
      <c r="E59" s="47">
        <v>0</v>
      </c>
      <c r="F59" s="54"/>
    </row>
    <row r="60" spans="2:6">
      <c r="B60" s="22" t="s">
        <v>78</v>
      </c>
      <c r="C60" s="23" t="s">
        <v>79</v>
      </c>
      <c r="D60" s="10">
        <v>4000</v>
      </c>
      <c r="E60" s="47"/>
      <c r="F60" s="52">
        <v>-14010</v>
      </c>
    </row>
    <row r="61" spans="2:6">
      <c r="B61" s="22" t="str">
        <f>"4150"</f>
        <v>4150</v>
      </c>
      <c r="C61" s="23" t="s">
        <v>80</v>
      </c>
      <c r="D61" s="10">
        <v>17500</v>
      </c>
      <c r="E61" s="47">
        <v>17500</v>
      </c>
      <c r="F61" s="52">
        <v>-50902.94</v>
      </c>
    </row>
    <row r="62" spans="2:6">
      <c r="B62" s="22" t="str">
        <f>"4155"</f>
        <v>4155</v>
      </c>
      <c r="C62" s="23" t="s">
        <v>81</v>
      </c>
      <c r="D62" s="10">
        <v>55000</v>
      </c>
      <c r="E62" s="47">
        <v>50000</v>
      </c>
      <c r="F62" s="52">
        <v>-64090.74</v>
      </c>
    </row>
    <row r="63" spans="2:6">
      <c r="B63" s="22" t="s">
        <v>82</v>
      </c>
      <c r="C63" s="23" t="s">
        <v>83</v>
      </c>
      <c r="D63" s="10">
        <v>0</v>
      </c>
      <c r="E63" s="47">
        <v>0</v>
      </c>
      <c r="F63" s="52">
        <v>-120</v>
      </c>
    </row>
    <row r="64" spans="2:6">
      <c r="B64" s="22" t="str">
        <f>"4160"</f>
        <v>4160</v>
      </c>
      <c r="C64" s="23" t="s">
        <v>84</v>
      </c>
      <c r="D64" s="10">
        <v>20000</v>
      </c>
      <c r="E64" s="47">
        <v>20000</v>
      </c>
      <c r="F64" s="54"/>
    </row>
    <row r="65" spans="2:6" hidden="1">
      <c r="B65" s="22" t="s">
        <v>85</v>
      </c>
      <c r="C65" s="23" t="s">
        <v>86</v>
      </c>
      <c r="D65" s="10">
        <v>0</v>
      </c>
      <c r="E65" s="47">
        <v>0</v>
      </c>
      <c r="F65" s="54"/>
    </row>
    <row r="66" spans="2:6" hidden="1">
      <c r="B66" s="22" t="s">
        <v>87</v>
      </c>
      <c r="C66" s="23" t="s">
        <v>86</v>
      </c>
      <c r="D66" s="10"/>
      <c r="E66" s="47"/>
      <c r="F66" s="54"/>
    </row>
    <row r="67" spans="2:6">
      <c r="B67" s="22" t="str">
        <f>"4500"</f>
        <v>4500</v>
      </c>
      <c r="C67" s="23" t="s">
        <v>88</v>
      </c>
      <c r="D67" s="10">
        <v>20000</v>
      </c>
      <c r="E67" s="47">
        <v>20000</v>
      </c>
      <c r="F67" s="52">
        <v>-53166.65</v>
      </c>
    </row>
    <row r="68" spans="2:6">
      <c r="B68" s="22" t="s">
        <v>89</v>
      </c>
      <c r="C68" s="23" t="s">
        <v>90</v>
      </c>
      <c r="D68" s="10">
        <v>85000</v>
      </c>
      <c r="E68" s="47">
        <v>85000</v>
      </c>
      <c r="F68" s="52">
        <v>-42500</v>
      </c>
    </row>
    <row r="69" spans="2:6" hidden="1">
      <c r="B69" s="22" t="str">
        <f>"5060"</f>
        <v>5060</v>
      </c>
      <c r="C69" s="23" t="s">
        <v>91</v>
      </c>
      <c r="D69" s="10">
        <v>0</v>
      </c>
      <c r="E69" s="47">
        <v>0</v>
      </c>
      <c r="F69" s="54"/>
    </row>
    <row r="70" spans="2:6">
      <c r="B70" s="22" t="str">
        <f>"5193"</f>
        <v>5193</v>
      </c>
      <c r="C70" s="23" t="s">
        <v>92</v>
      </c>
      <c r="D70" s="10">
        <v>10000</v>
      </c>
      <c r="E70" s="47">
        <v>10000</v>
      </c>
      <c r="F70" s="52">
        <v>-21557.58</v>
      </c>
    </row>
    <row r="71" spans="2:6">
      <c r="B71" s="22" t="s">
        <v>93</v>
      </c>
      <c r="C71" s="23" t="s">
        <v>94</v>
      </c>
      <c r="D71" s="10">
        <v>5000</v>
      </c>
      <c r="E71" s="47"/>
      <c r="F71" s="52"/>
    </row>
    <row r="72" spans="2:6">
      <c r="B72" s="22" t="str">
        <f>"5210"</f>
        <v>5210</v>
      </c>
      <c r="C72" s="23" t="s">
        <v>95</v>
      </c>
      <c r="D72" s="10">
        <v>12000</v>
      </c>
      <c r="E72" s="47">
        <v>20000</v>
      </c>
      <c r="F72" s="52">
        <v>-50337</v>
      </c>
    </row>
    <row r="73" spans="2:6">
      <c r="B73" s="22" t="s">
        <v>96</v>
      </c>
      <c r="C73" s="23" t="s">
        <v>97</v>
      </c>
      <c r="D73" s="10"/>
      <c r="E73" s="47"/>
      <c r="F73" s="52">
        <v>-16116</v>
      </c>
    </row>
    <row r="74" spans="2:6">
      <c r="B74" s="22" t="str">
        <f>"5500"</f>
        <v>5500</v>
      </c>
      <c r="C74" s="23" t="s">
        <v>98</v>
      </c>
      <c r="D74" s="10">
        <v>5000</v>
      </c>
      <c r="E74" s="47">
        <v>5000</v>
      </c>
      <c r="F74" s="52">
        <v>-9899</v>
      </c>
    </row>
    <row r="75" spans="2:6" hidden="1">
      <c r="B75" s="22" t="str">
        <f>"5580"</f>
        <v>5580</v>
      </c>
      <c r="C75" s="23" t="s">
        <v>99</v>
      </c>
      <c r="D75" s="10">
        <v>0</v>
      </c>
      <c r="E75" s="47">
        <v>0</v>
      </c>
      <c r="F75" s="54"/>
    </row>
    <row r="76" spans="2:6">
      <c r="B76" s="22" t="s">
        <v>100</v>
      </c>
      <c r="C76" s="23" t="s">
        <v>101</v>
      </c>
      <c r="D76" s="10">
        <v>2000</v>
      </c>
      <c r="E76" s="47">
        <v>2000</v>
      </c>
      <c r="F76" s="52">
        <v>-5127.21</v>
      </c>
    </row>
    <row r="77" spans="2:6">
      <c r="B77" s="22" t="s">
        <v>102</v>
      </c>
      <c r="C77" s="23" t="s">
        <v>103</v>
      </c>
      <c r="D77" s="10">
        <v>4000</v>
      </c>
      <c r="E77" s="47">
        <v>4000</v>
      </c>
      <c r="F77" s="52">
        <v>-7901</v>
      </c>
    </row>
    <row r="78" spans="2:6" hidden="1">
      <c r="B78" s="22" t="str">
        <f>"5810"</f>
        <v>5810</v>
      </c>
      <c r="C78" s="23" t="s">
        <v>104</v>
      </c>
      <c r="D78" s="10">
        <v>0</v>
      </c>
      <c r="E78" s="47">
        <v>0</v>
      </c>
      <c r="F78" s="54"/>
    </row>
    <row r="79" spans="2:6">
      <c r="B79" s="22" t="s">
        <v>105</v>
      </c>
      <c r="C79" s="23" t="s">
        <v>106</v>
      </c>
      <c r="D79" s="10">
        <v>5500</v>
      </c>
      <c r="E79" s="47">
        <v>5500</v>
      </c>
      <c r="F79" s="52">
        <v>-7142</v>
      </c>
    </row>
    <row r="80" spans="2:6" hidden="1">
      <c r="B80" s="22" t="s">
        <v>107</v>
      </c>
      <c r="C80" s="23" t="s">
        <v>108</v>
      </c>
      <c r="D80" s="10">
        <v>0</v>
      </c>
      <c r="E80" s="47">
        <v>0</v>
      </c>
      <c r="F80" s="54"/>
    </row>
    <row r="81" spans="2:6" hidden="1">
      <c r="B81" s="22" t="str">
        <f>"5910"</f>
        <v>5910</v>
      </c>
      <c r="C81" s="23" t="s">
        <v>109</v>
      </c>
      <c r="D81" s="10">
        <v>0</v>
      </c>
      <c r="E81" s="47">
        <v>0</v>
      </c>
      <c r="F81" s="54"/>
    </row>
    <row r="82" spans="2:6" hidden="1">
      <c r="B82" s="22" t="str">
        <f>"5930"</f>
        <v>5930</v>
      </c>
      <c r="C82" s="23" t="s">
        <v>110</v>
      </c>
      <c r="D82" s="10">
        <v>0</v>
      </c>
      <c r="E82" s="47">
        <v>0</v>
      </c>
      <c r="F82" s="54"/>
    </row>
    <row r="83" spans="2:6">
      <c r="B83" s="22" t="str">
        <f>"5990"</f>
        <v>5990</v>
      </c>
      <c r="C83" s="23" t="s">
        <v>111</v>
      </c>
      <c r="D83" s="10">
        <v>1000</v>
      </c>
      <c r="E83" s="47">
        <v>1000</v>
      </c>
      <c r="F83" s="52">
        <v>-1888.15</v>
      </c>
    </row>
    <row r="84" spans="2:6">
      <c r="B84" s="22" t="s">
        <v>112</v>
      </c>
      <c r="C84" s="23" t="s">
        <v>113</v>
      </c>
      <c r="D84" s="10">
        <v>25000</v>
      </c>
      <c r="E84" s="47">
        <v>25000</v>
      </c>
      <c r="F84" s="52">
        <v>-44079.199999999997</v>
      </c>
    </row>
    <row r="85" spans="2:6">
      <c r="B85" s="22" t="str">
        <f>"6071"</f>
        <v>6071</v>
      </c>
      <c r="C85" s="23" t="s">
        <v>114</v>
      </c>
      <c r="D85" s="10">
        <v>5000</v>
      </c>
      <c r="E85" s="47">
        <v>5000</v>
      </c>
      <c r="F85" s="52">
        <v>-4835</v>
      </c>
    </row>
    <row r="86" spans="2:6">
      <c r="B86" s="22" t="str">
        <f>"6072"</f>
        <v>6072</v>
      </c>
      <c r="C86" s="23" t="s">
        <v>115</v>
      </c>
      <c r="D86" s="10">
        <v>5000</v>
      </c>
      <c r="E86" s="47">
        <v>5000</v>
      </c>
      <c r="F86" s="52">
        <v>-5948.2</v>
      </c>
    </row>
    <row r="87" spans="2:6">
      <c r="B87" s="22" t="str">
        <f>"6073"</f>
        <v>6073</v>
      </c>
      <c r="C87" s="23" t="s">
        <v>116</v>
      </c>
      <c r="D87" s="10">
        <v>10000</v>
      </c>
      <c r="E87" s="47">
        <v>10000</v>
      </c>
      <c r="F87" s="52">
        <v>-9032.2000000000007</v>
      </c>
    </row>
    <row r="88" spans="2:6">
      <c r="B88" s="22" t="str">
        <f>"6074"</f>
        <v>6074</v>
      </c>
      <c r="C88" s="23" t="s">
        <v>117</v>
      </c>
      <c r="D88" s="10">
        <v>5000</v>
      </c>
      <c r="E88" s="47">
        <v>5000</v>
      </c>
      <c r="F88" s="52">
        <v>-2985</v>
      </c>
    </row>
    <row r="89" spans="2:6">
      <c r="B89" s="22" t="str">
        <f>"6075"</f>
        <v>6075</v>
      </c>
      <c r="C89" s="23" t="s">
        <v>118</v>
      </c>
      <c r="D89" s="10">
        <v>5000</v>
      </c>
      <c r="E89" s="47">
        <v>5000</v>
      </c>
      <c r="F89" s="52">
        <v>-5726.2</v>
      </c>
    </row>
    <row r="90" spans="2:6">
      <c r="B90" s="22" t="str">
        <f>"6076"</f>
        <v>6076</v>
      </c>
      <c r="C90" s="23" t="s">
        <v>119</v>
      </c>
      <c r="D90" s="10">
        <v>40000</v>
      </c>
      <c r="E90" s="47">
        <v>40000</v>
      </c>
      <c r="F90" s="52">
        <v>-47733.43</v>
      </c>
    </row>
    <row r="91" spans="2:6">
      <c r="B91" s="22" t="str">
        <f>"6077"</f>
        <v>6077</v>
      </c>
      <c r="C91" s="23" t="s">
        <v>120</v>
      </c>
      <c r="D91" s="10">
        <v>0</v>
      </c>
      <c r="E91" s="47">
        <v>0</v>
      </c>
      <c r="F91" s="52">
        <v>-200</v>
      </c>
    </row>
    <row r="92" spans="2:6">
      <c r="B92" s="22" t="s">
        <v>121</v>
      </c>
      <c r="C92" s="23" t="s">
        <v>122</v>
      </c>
      <c r="D92" s="10">
        <v>1500</v>
      </c>
      <c r="E92" s="47">
        <v>1500</v>
      </c>
      <c r="F92" s="52">
        <v>-1500</v>
      </c>
    </row>
    <row r="93" spans="2:6" hidden="1">
      <c r="B93" s="22" t="str">
        <f>"6079"</f>
        <v>6079</v>
      </c>
      <c r="C93" s="23" t="s">
        <v>123</v>
      </c>
      <c r="D93" s="10">
        <v>0</v>
      </c>
      <c r="E93" s="47">
        <v>0</v>
      </c>
      <c r="F93" s="54"/>
    </row>
    <row r="94" spans="2:6" hidden="1">
      <c r="B94" s="22" t="str">
        <f>"6080"</f>
        <v>6080</v>
      </c>
      <c r="C94" s="23" t="s">
        <v>124</v>
      </c>
      <c r="D94" s="10">
        <v>0</v>
      </c>
      <c r="E94" s="47">
        <v>0</v>
      </c>
      <c r="F94" s="54"/>
    </row>
    <row r="95" spans="2:6">
      <c r="B95" s="22" t="s">
        <v>125</v>
      </c>
      <c r="C95" s="23" t="s">
        <v>126</v>
      </c>
      <c r="D95" s="10"/>
      <c r="E95" s="47"/>
      <c r="F95" s="52">
        <v>-1876</v>
      </c>
    </row>
    <row r="96" spans="2:6">
      <c r="B96" s="22" t="str">
        <f>"6110"</f>
        <v>6110</v>
      </c>
      <c r="C96" s="23" t="s">
        <v>127</v>
      </c>
      <c r="D96" s="10">
        <v>2000</v>
      </c>
      <c r="E96" s="47">
        <v>2000</v>
      </c>
      <c r="F96" s="52">
        <v>-3805.1</v>
      </c>
    </row>
    <row r="97" spans="2:6">
      <c r="B97" s="22" t="str">
        <f>"6120"</f>
        <v>6120</v>
      </c>
      <c r="C97" s="23" t="s">
        <v>128</v>
      </c>
      <c r="D97" s="10">
        <v>50000</v>
      </c>
      <c r="E97" s="47">
        <v>40000</v>
      </c>
      <c r="F97" s="52">
        <v>-47568.71</v>
      </c>
    </row>
    <row r="98" spans="2:6" hidden="1">
      <c r="B98" s="22" t="str">
        <f>"6150"</f>
        <v>6150</v>
      </c>
      <c r="C98" s="23" t="s">
        <v>129</v>
      </c>
      <c r="D98" s="10"/>
      <c r="E98" s="47"/>
      <c r="F98" s="54">
        <v>0</v>
      </c>
    </row>
    <row r="99" spans="2:6" hidden="1">
      <c r="B99" s="22" t="str">
        <f>"6160"</f>
        <v>6160</v>
      </c>
      <c r="C99" s="23" t="s">
        <v>130</v>
      </c>
      <c r="D99" s="10">
        <v>0</v>
      </c>
      <c r="E99" s="47">
        <v>0</v>
      </c>
      <c r="F99" s="54"/>
    </row>
    <row r="100" spans="2:6">
      <c r="B100" s="22" t="str">
        <f>"6210"</f>
        <v>6210</v>
      </c>
      <c r="C100" s="23" t="s">
        <v>131</v>
      </c>
      <c r="D100" s="10">
        <v>5000</v>
      </c>
      <c r="E100" s="47">
        <v>5000</v>
      </c>
      <c r="F100" s="52">
        <v>-4474</v>
      </c>
    </row>
    <row r="101" spans="2:6">
      <c r="B101" s="22" t="str">
        <f>"6230"</f>
        <v>6230</v>
      </c>
      <c r="C101" s="23" t="s">
        <v>132</v>
      </c>
      <c r="D101" s="10">
        <v>7000</v>
      </c>
      <c r="E101" s="47">
        <v>7000</v>
      </c>
      <c r="F101" s="52">
        <v>-9794</v>
      </c>
    </row>
    <row r="102" spans="2:6">
      <c r="B102" s="22" t="str">
        <f>"6250"</f>
        <v>6250</v>
      </c>
      <c r="C102" s="23" t="s">
        <v>133</v>
      </c>
      <c r="D102" s="10">
        <v>15000</v>
      </c>
      <c r="E102" s="47">
        <v>15000</v>
      </c>
      <c r="F102" s="52">
        <v>-17549</v>
      </c>
    </row>
    <row r="103" spans="2:6">
      <c r="B103" s="22" t="str">
        <f>"6310"</f>
        <v>6310</v>
      </c>
      <c r="C103" s="23" t="s">
        <v>134</v>
      </c>
      <c r="D103" s="10">
        <v>12500</v>
      </c>
      <c r="E103" s="47">
        <v>12500</v>
      </c>
      <c r="F103" s="52">
        <v>-12565.57</v>
      </c>
    </row>
    <row r="104" spans="2:6">
      <c r="B104" s="22" t="s">
        <v>135</v>
      </c>
      <c r="C104" s="23" t="s">
        <v>136</v>
      </c>
      <c r="D104" s="10">
        <v>0</v>
      </c>
      <c r="E104" s="47">
        <v>0</v>
      </c>
      <c r="F104" s="52">
        <v>-500</v>
      </c>
    </row>
    <row r="105" spans="2:6">
      <c r="B105" s="22" t="str">
        <f>"6370"</f>
        <v>6370</v>
      </c>
      <c r="C105" s="23" t="s">
        <v>137</v>
      </c>
      <c r="D105" s="10">
        <v>13000</v>
      </c>
      <c r="E105" s="47">
        <v>13000</v>
      </c>
      <c r="F105" s="52">
        <v>-13461</v>
      </c>
    </row>
    <row r="106" spans="2:6">
      <c r="B106" s="22" t="str">
        <f>"6380"</f>
        <v>6380</v>
      </c>
      <c r="C106" s="23" t="s">
        <v>138</v>
      </c>
      <c r="D106" s="10">
        <v>40000</v>
      </c>
      <c r="E106" s="47">
        <v>40000</v>
      </c>
      <c r="F106" s="52">
        <v>-43905</v>
      </c>
    </row>
    <row r="107" spans="2:6">
      <c r="B107" s="22" t="str">
        <f>"6385"</f>
        <v>6385</v>
      </c>
      <c r="C107" s="23" t="s">
        <v>139</v>
      </c>
      <c r="D107" s="10">
        <v>8000</v>
      </c>
      <c r="E107" s="47">
        <v>8000</v>
      </c>
      <c r="F107" s="52">
        <v>-15416</v>
      </c>
    </row>
    <row r="108" spans="2:6">
      <c r="B108" s="22" t="s">
        <v>140</v>
      </c>
      <c r="C108" s="23" t="s">
        <v>141</v>
      </c>
      <c r="D108" s="10">
        <v>2000</v>
      </c>
      <c r="E108" s="47">
        <v>2000</v>
      </c>
      <c r="F108" s="52">
        <v>-1198</v>
      </c>
    </row>
    <row r="109" spans="2:6">
      <c r="B109" s="22" t="s">
        <v>142</v>
      </c>
      <c r="C109" s="23" t="s">
        <v>143</v>
      </c>
      <c r="D109" s="10">
        <v>20000</v>
      </c>
      <c r="E109" s="47">
        <v>20000</v>
      </c>
      <c r="F109" s="54"/>
    </row>
    <row r="110" spans="2:6">
      <c r="B110" s="22" t="s">
        <v>144</v>
      </c>
      <c r="C110" s="23" t="s">
        <v>145</v>
      </c>
      <c r="D110" s="10"/>
      <c r="E110" s="47"/>
      <c r="F110" s="52">
        <v>-255</v>
      </c>
    </row>
    <row r="111" spans="2:6">
      <c r="B111" s="22" t="str">
        <f>"6570"</f>
        <v>6570</v>
      </c>
      <c r="C111" s="23" t="s">
        <v>146</v>
      </c>
      <c r="D111" s="10">
        <v>6000</v>
      </c>
      <c r="E111" s="47">
        <v>6000</v>
      </c>
      <c r="F111" s="52">
        <v>-11604.11</v>
      </c>
    </row>
    <row r="112" spans="2:6" hidden="1">
      <c r="B112" s="22" t="s">
        <v>147</v>
      </c>
      <c r="C112" s="23" t="s">
        <v>148</v>
      </c>
      <c r="D112" s="10">
        <v>0</v>
      </c>
      <c r="E112" s="47">
        <v>0</v>
      </c>
      <c r="F112" s="54"/>
    </row>
    <row r="113" spans="2:6">
      <c r="B113" s="22" t="s">
        <v>149</v>
      </c>
      <c r="C113" s="23" t="s">
        <v>150</v>
      </c>
      <c r="D113" s="10">
        <v>5000</v>
      </c>
      <c r="E113" s="47"/>
      <c r="F113" s="52">
        <v>-6311</v>
      </c>
    </row>
    <row r="114" spans="2:6" hidden="1">
      <c r="B114" s="22" t="str">
        <f>"6970"</f>
        <v>6970</v>
      </c>
      <c r="C114" s="23" t="s">
        <v>151</v>
      </c>
      <c r="D114" s="10">
        <v>0</v>
      </c>
      <c r="E114" s="47">
        <v>0</v>
      </c>
      <c r="F114" s="54"/>
    </row>
    <row r="115" spans="2:6" hidden="1">
      <c r="B115" s="22" t="str">
        <f>"6973"</f>
        <v>6973</v>
      </c>
      <c r="C115" s="23" t="s">
        <v>152</v>
      </c>
      <c r="D115" s="10">
        <v>0</v>
      </c>
      <c r="E115" s="47">
        <v>0</v>
      </c>
      <c r="F115" s="54"/>
    </row>
    <row r="116" spans="2:6" hidden="1">
      <c r="B116" s="22" t="str">
        <f>"6974"</f>
        <v>6974</v>
      </c>
      <c r="C116" s="23" t="s">
        <v>153</v>
      </c>
      <c r="D116" s="10">
        <v>0</v>
      </c>
      <c r="E116" s="47">
        <v>0</v>
      </c>
      <c r="F116" s="54"/>
    </row>
    <row r="117" spans="2:6">
      <c r="B117" s="22" t="str">
        <f>"6977"</f>
        <v>6977</v>
      </c>
      <c r="C117" s="23" t="s">
        <v>154</v>
      </c>
      <c r="D117" s="10">
        <v>7000</v>
      </c>
      <c r="E117" s="47">
        <v>7000</v>
      </c>
      <c r="F117" s="52">
        <v>-9208.4</v>
      </c>
    </row>
    <row r="118" spans="2:6">
      <c r="B118" s="22" t="str">
        <f>"6978"</f>
        <v>6978</v>
      </c>
      <c r="C118" s="23" t="s">
        <v>155</v>
      </c>
      <c r="D118" s="10">
        <v>500</v>
      </c>
      <c r="E118" s="47">
        <v>500</v>
      </c>
      <c r="F118" s="52">
        <v>-198</v>
      </c>
    </row>
    <row r="119" spans="2:6">
      <c r="B119" s="22" t="str">
        <f>"6979"</f>
        <v>6979</v>
      </c>
      <c r="C119" s="23" t="s">
        <v>156</v>
      </c>
      <c r="D119" s="10">
        <v>3000</v>
      </c>
      <c r="E119" s="47">
        <v>3000</v>
      </c>
      <c r="F119" s="52">
        <v>-2886</v>
      </c>
    </row>
    <row r="120" spans="2:6" hidden="1">
      <c r="B120" s="22" t="str">
        <f>"6980"</f>
        <v>6980</v>
      </c>
      <c r="C120" s="23" t="s">
        <v>157</v>
      </c>
      <c r="D120" s="10">
        <v>0</v>
      </c>
      <c r="E120" s="47">
        <v>0</v>
      </c>
      <c r="F120" s="52"/>
    </row>
    <row r="121" spans="2:6" hidden="1">
      <c r="B121" s="22" t="str">
        <f>"6991"</f>
        <v>6991</v>
      </c>
      <c r="C121" s="23" t="s">
        <v>158</v>
      </c>
      <c r="D121" s="10">
        <v>0</v>
      </c>
      <c r="E121" s="47">
        <v>0</v>
      </c>
      <c r="F121" s="54"/>
    </row>
    <row r="122" spans="2:6" hidden="1">
      <c r="B122" s="22" t="str">
        <f>"7010"</f>
        <v>7010</v>
      </c>
      <c r="C122" s="23" t="s">
        <v>159</v>
      </c>
      <c r="D122" s="10">
        <v>0</v>
      </c>
      <c r="E122" s="47">
        <v>0</v>
      </c>
      <c r="F122" s="54"/>
    </row>
    <row r="123" spans="2:6" hidden="1">
      <c r="B123" s="22" t="str">
        <f>"7020"</f>
        <v>7020</v>
      </c>
      <c r="C123" s="23" t="s">
        <v>160</v>
      </c>
      <c r="D123" s="10">
        <v>0</v>
      </c>
      <c r="E123" s="47">
        <v>0</v>
      </c>
      <c r="F123" s="54"/>
    </row>
    <row r="124" spans="2:6" hidden="1">
      <c r="B124" s="22" t="str">
        <f>"7030"</f>
        <v>7030</v>
      </c>
      <c r="C124" s="23" t="s">
        <v>161</v>
      </c>
      <c r="D124" s="10">
        <v>0</v>
      </c>
      <c r="E124" s="47">
        <v>0</v>
      </c>
      <c r="F124" s="54"/>
    </row>
    <row r="125" spans="2:6" hidden="1">
      <c r="B125" s="22" t="str">
        <f>"7040"</f>
        <v>7040</v>
      </c>
      <c r="C125" s="23" t="s">
        <v>162</v>
      </c>
      <c r="D125" s="10">
        <v>0</v>
      </c>
      <c r="E125" s="47">
        <v>0</v>
      </c>
      <c r="F125" s="54"/>
    </row>
    <row r="126" spans="2:6" hidden="1">
      <c r="B126" s="22" t="str">
        <f>"7050"</f>
        <v>7050</v>
      </c>
      <c r="C126" s="23" t="s">
        <v>163</v>
      </c>
      <c r="D126" s="10">
        <v>0</v>
      </c>
      <c r="E126" s="47">
        <v>0</v>
      </c>
      <c r="F126" s="54"/>
    </row>
    <row r="127" spans="2:6" hidden="1">
      <c r="B127" s="22" t="str">
        <f>"7060"</f>
        <v>7060</v>
      </c>
      <c r="C127" s="23" t="s">
        <v>164</v>
      </c>
      <c r="D127" s="10">
        <v>0</v>
      </c>
      <c r="E127" s="47">
        <v>0</v>
      </c>
      <c r="F127" s="54"/>
    </row>
    <row r="128" spans="2:6" hidden="1">
      <c r="B128" s="22" t="str">
        <f>"7070"</f>
        <v>7070</v>
      </c>
      <c r="C128" s="23" t="s">
        <v>165</v>
      </c>
      <c r="D128" s="10">
        <v>0</v>
      </c>
      <c r="E128" s="47">
        <v>0</v>
      </c>
      <c r="F128" s="54"/>
    </row>
    <row r="129" spans="2:6" hidden="1">
      <c r="B129" s="22" t="str">
        <f>"7110"</f>
        <v>7110</v>
      </c>
      <c r="C129" s="23" t="s">
        <v>166</v>
      </c>
      <c r="D129" s="10">
        <v>0</v>
      </c>
      <c r="E129" s="47">
        <v>0</v>
      </c>
      <c r="F129" s="54"/>
    </row>
    <row r="130" spans="2:6" hidden="1">
      <c r="B130" s="22" t="str">
        <f>"7120"</f>
        <v>7120</v>
      </c>
      <c r="C130" s="23" t="s">
        <v>167</v>
      </c>
      <c r="D130" s="10">
        <v>0</v>
      </c>
      <c r="E130" s="47">
        <v>0</v>
      </c>
      <c r="F130" s="54"/>
    </row>
    <row r="131" spans="2:6" hidden="1">
      <c r="B131" s="22" t="str">
        <f>"7130"</f>
        <v>7130</v>
      </c>
      <c r="C131" s="23" t="s">
        <v>168</v>
      </c>
      <c r="D131" s="10">
        <v>0</v>
      </c>
      <c r="E131" s="47">
        <v>0</v>
      </c>
      <c r="F131" s="54"/>
    </row>
    <row r="132" spans="2:6" hidden="1">
      <c r="B132" s="22" t="str">
        <f>"7140"</f>
        <v>7140</v>
      </c>
      <c r="C132" s="23" t="s">
        <v>169</v>
      </c>
      <c r="D132" s="10">
        <v>0</v>
      </c>
      <c r="E132" s="47">
        <v>0</v>
      </c>
      <c r="F132" s="54"/>
    </row>
    <row r="133" spans="2:6" hidden="1">
      <c r="B133" s="22" t="str">
        <f>"7150"</f>
        <v>7150</v>
      </c>
      <c r="C133" s="23" t="s">
        <v>170</v>
      </c>
      <c r="D133" s="10">
        <v>0</v>
      </c>
      <c r="E133" s="47">
        <v>0</v>
      </c>
      <c r="F133" s="54"/>
    </row>
    <row r="134" spans="2:6" hidden="1">
      <c r="B134" s="22" t="str">
        <f>"7160"</f>
        <v>7160</v>
      </c>
      <c r="C134" s="23" t="s">
        <v>171</v>
      </c>
      <c r="D134" s="10">
        <v>0</v>
      </c>
      <c r="E134" s="47">
        <v>0</v>
      </c>
      <c r="F134" s="54"/>
    </row>
    <row r="135" spans="2:6" hidden="1">
      <c r="B135" s="22" t="str">
        <f>"7170"</f>
        <v>7170</v>
      </c>
      <c r="C135" s="23" t="s">
        <v>172</v>
      </c>
      <c r="D135" s="10">
        <v>0</v>
      </c>
      <c r="E135" s="47">
        <v>0</v>
      </c>
      <c r="F135" s="54"/>
    </row>
    <row r="136" spans="2:6" hidden="1">
      <c r="B136" s="22" t="str">
        <f>"7210"</f>
        <v>7210</v>
      </c>
      <c r="C136" s="23" t="s">
        <v>173</v>
      </c>
      <c r="D136" s="10">
        <v>0</v>
      </c>
      <c r="E136" s="47">
        <v>0</v>
      </c>
      <c r="F136" s="54"/>
    </row>
    <row r="137" spans="2:6" hidden="1">
      <c r="B137" s="22" t="str">
        <f>"7220"</f>
        <v>7220</v>
      </c>
      <c r="C137" s="23" t="s">
        <v>174</v>
      </c>
      <c r="D137" s="10">
        <v>0</v>
      </c>
      <c r="E137" s="47">
        <v>0</v>
      </c>
      <c r="F137" s="54"/>
    </row>
    <row r="138" spans="2:6" hidden="1">
      <c r="B138" s="22" t="str">
        <f>"7230"</f>
        <v>7230</v>
      </c>
      <c r="C138" s="23" t="s">
        <v>175</v>
      </c>
      <c r="D138" s="10">
        <v>0</v>
      </c>
      <c r="E138" s="47">
        <v>0</v>
      </c>
      <c r="F138" s="54"/>
    </row>
    <row r="139" spans="2:6" hidden="1">
      <c r="B139" s="22" t="str">
        <f>"7240"</f>
        <v>7240</v>
      </c>
      <c r="C139" s="23" t="s">
        <v>176</v>
      </c>
      <c r="D139" s="10">
        <v>0</v>
      </c>
      <c r="E139" s="47">
        <v>0</v>
      </c>
      <c r="F139" s="54"/>
    </row>
    <row r="140" spans="2:6" hidden="1">
      <c r="B140" s="22" t="str">
        <f>"7250"</f>
        <v>7250</v>
      </c>
      <c r="C140" s="23" t="s">
        <v>177</v>
      </c>
      <c r="D140" s="10">
        <v>0</v>
      </c>
      <c r="E140" s="47">
        <v>0</v>
      </c>
      <c r="F140" s="54"/>
    </row>
    <row r="141" spans="2:6" hidden="1">
      <c r="B141" s="22" t="str">
        <f>"7260"</f>
        <v>7260</v>
      </c>
      <c r="C141" s="23" t="s">
        <v>178</v>
      </c>
      <c r="D141" s="10">
        <v>0</v>
      </c>
      <c r="E141" s="47">
        <v>0</v>
      </c>
      <c r="F141" s="54"/>
    </row>
    <row r="142" spans="2:6" hidden="1">
      <c r="B142" s="22" t="str">
        <f>"7270"</f>
        <v>7270</v>
      </c>
      <c r="C142" s="23" t="s">
        <v>179</v>
      </c>
      <c r="D142" s="10">
        <v>0</v>
      </c>
      <c r="E142" s="47">
        <v>0</v>
      </c>
      <c r="F142" s="54"/>
    </row>
    <row r="143" spans="2:6" hidden="1">
      <c r="B143" s="22" t="str">
        <f>"7290"</f>
        <v>7290</v>
      </c>
      <c r="C143" s="23" t="s">
        <v>180</v>
      </c>
      <c r="D143" s="10">
        <v>0</v>
      </c>
      <c r="E143" s="47">
        <v>0</v>
      </c>
      <c r="F143" s="54"/>
    </row>
    <row r="144" spans="2:6">
      <c r="B144" s="25">
        <v>7291</v>
      </c>
      <c r="C144" s="26" t="s">
        <v>181</v>
      </c>
      <c r="D144" s="10">
        <v>378200</v>
      </c>
      <c r="E144" s="47">
        <v>378200</v>
      </c>
      <c r="F144" s="52">
        <v>-416644</v>
      </c>
    </row>
    <row r="145" spans="2:6">
      <c r="B145" s="25">
        <v>7292</v>
      </c>
      <c r="C145" s="26" t="s">
        <v>182</v>
      </c>
      <c r="D145" s="10">
        <v>120000</v>
      </c>
      <c r="E145" s="47">
        <v>120000</v>
      </c>
      <c r="F145" s="52">
        <v>-99543</v>
      </c>
    </row>
    <row r="146" spans="2:6">
      <c r="B146" s="22" t="s">
        <v>183</v>
      </c>
      <c r="C146" s="23" t="s">
        <v>184</v>
      </c>
      <c r="D146" s="10">
        <v>85000</v>
      </c>
      <c r="E146" s="47">
        <v>80000</v>
      </c>
      <c r="F146" s="52">
        <v>-74603.899999999994</v>
      </c>
    </row>
    <row r="147" spans="2:6">
      <c r="B147" s="22" t="s">
        <v>185</v>
      </c>
      <c r="C147" s="23" t="s">
        <v>186</v>
      </c>
      <c r="D147" s="10">
        <v>1000</v>
      </c>
      <c r="E147" s="47">
        <v>1000</v>
      </c>
      <c r="F147" s="52">
        <v>-1289</v>
      </c>
    </row>
    <row r="148" spans="2:6" ht="15.75" thickBot="1">
      <c r="B148" s="22" t="str">
        <f>"7610"</f>
        <v>7610</v>
      </c>
      <c r="C148" s="23" t="s">
        <v>187</v>
      </c>
      <c r="D148" s="10"/>
      <c r="E148" s="47"/>
      <c r="F148" s="52">
        <v>-444</v>
      </c>
    </row>
    <row r="149" spans="2:6" ht="15.75" hidden="1" thickBot="1">
      <c r="B149" s="22" t="s">
        <v>188</v>
      </c>
      <c r="C149" s="23" t="s">
        <v>189</v>
      </c>
      <c r="D149" s="10">
        <v>0</v>
      </c>
      <c r="E149" s="47">
        <v>0</v>
      </c>
      <c r="F149" s="54"/>
    </row>
    <row r="150" spans="2:6" ht="15.75" hidden="1" thickBot="1">
      <c r="B150" s="22" t="str">
        <f>"7830"</f>
        <v>7830</v>
      </c>
      <c r="C150" s="23" t="s">
        <v>190</v>
      </c>
      <c r="D150" s="10">
        <v>0</v>
      </c>
      <c r="E150" s="47">
        <v>0</v>
      </c>
      <c r="F150" s="54"/>
    </row>
    <row r="151" spans="2:6" ht="15.75" hidden="1" thickBot="1">
      <c r="B151" s="22" t="s">
        <v>191</v>
      </c>
      <c r="C151" s="23" t="s">
        <v>192</v>
      </c>
      <c r="D151" s="10"/>
      <c r="E151" s="47"/>
      <c r="F151" s="54"/>
    </row>
    <row r="152" spans="2:6" ht="15.75" hidden="1" thickBot="1">
      <c r="B152" s="22" t="s">
        <v>193</v>
      </c>
      <c r="C152" s="23" t="s">
        <v>194</v>
      </c>
      <c r="D152" s="10"/>
      <c r="E152" s="47"/>
      <c r="F152" s="54"/>
    </row>
    <row r="153" spans="2:6" ht="15.75" hidden="1" thickBot="1">
      <c r="B153" s="22" t="str">
        <f>"8400"</f>
        <v>8400</v>
      </c>
      <c r="C153" s="23" t="s">
        <v>195</v>
      </c>
      <c r="D153" s="10">
        <v>0</v>
      </c>
      <c r="E153" s="47">
        <v>0</v>
      </c>
      <c r="F153" s="54"/>
    </row>
    <row r="154" spans="2:6" ht="15.75" hidden="1" thickBot="1">
      <c r="B154" s="22" t="str">
        <f>"8422"</f>
        <v>8422</v>
      </c>
      <c r="C154" s="23" t="s">
        <v>196</v>
      </c>
      <c r="D154" s="10">
        <v>0</v>
      </c>
      <c r="E154" s="47">
        <v>0</v>
      </c>
      <c r="F154" s="54"/>
    </row>
    <row r="155" spans="2:6" ht="15.75" hidden="1" thickBot="1">
      <c r="B155" s="22" t="str">
        <f>"8490"</f>
        <v>8490</v>
      </c>
      <c r="C155" s="23" t="s">
        <v>197</v>
      </c>
      <c r="D155" s="10">
        <v>0</v>
      </c>
      <c r="E155" s="47">
        <v>0</v>
      </c>
      <c r="F155" s="54"/>
    </row>
    <row r="156" spans="2:6" ht="15.75" hidden="1" thickBot="1">
      <c r="B156" s="27" t="s">
        <v>198</v>
      </c>
      <c r="C156" s="28" t="s">
        <v>199</v>
      </c>
      <c r="D156" s="18">
        <v>0</v>
      </c>
      <c r="E156" s="18">
        <v>0</v>
      </c>
      <c r="F156" s="45"/>
    </row>
    <row r="157" spans="2:6" ht="15.75" thickBot="1">
      <c r="B157" s="39"/>
      <c r="C157" s="40" t="s">
        <v>200</v>
      </c>
      <c r="D157" s="29">
        <f>SUM(D42:D156)</f>
        <v>2522700</v>
      </c>
      <c r="E157" s="29">
        <f>SUM(E42:E156)</f>
        <v>2335200</v>
      </c>
      <c r="F157" s="57"/>
    </row>
    <row r="158" spans="2:6" ht="15.75" thickBot="1">
      <c r="B158" s="39"/>
      <c r="C158" s="40" t="s">
        <v>201</v>
      </c>
      <c r="D158" s="35">
        <f>D41-D157</f>
        <v>52300</v>
      </c>
      <c r="E158" s="63">
        <f>E41-E157</f>
        <v>13300</v>
      </c>
      <c r="F158" s="58"/>
    </row>
    <row r="159" spans="2:6" ht="15.75" thickBot="1">
      <c r="B159" s="36"/>
      <c r="C159" s="41" t="s">
        <v>54</v>
      </c>
      <c r="D159" s="31">
        <f>D41</f>
        <v>2575000</v>
      </c>
      <c r="E159" s="31">
        <f>E41</f>
        <v>2348500</v>
      </c>
      <c r="F159" s="59"/>
    </row>
    <row r="160" spans="2:6" ht="15.75" thickBot="1">
      <c r="B160" s="36"/>
      <c r="C160" s="38" t="s">
        <v>200</v>
      </c>
      <c r="D160" s="32">
        <f>D157</f>
        <v>2522700</v>
      </c>
      <c r="E160" s="32">
        <f>E157</f>
        <v>2335200</v>
      </c>
      <c r="F160" s="60"/>
    </row>
    <row r="161" spans="2:9" ht="15.75" thickBot="1">
      <c r="B161" s="37"/>
      <c r="C161" s="39" t="s">
        <v>202</v>
      </c>
      <c r="D161" s="33">
        <f>D159-D160</f>
        <v>52300</v>
      </c>
      <c r="E161" s="33">
        <f>E159-E160</f>
        <v>13300</v>
      </c>
      <c r="F161" s="60"/>
    </row>
    <row r="162" spans="2:9">
      <c r="B162" s="30"/>
      <c r="C162" s="30"/>
      <c r="D162" s="34"/>
      <c r="E162" s="34"/>
      <c r="F162" s="46"/>
    </row>
    <row r="163" spans="2:9">
      <c r="I163" s="34"/>
    </row>
  </sheetData>
  <mergeCells count="1">
    <mergeCell ref="B1:C1"/>
  </mergeCells>
  <pageMargins left="0.7" right="0.7" top="0.75" bottom="0.75" header="0.3" footer="0.3"/>
  <pageSetup paperSize="9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Psaros</dc:creator>
  <cp:lastModifiedBy>Helena Psaros</cp:lastModifiedBy>
  <cp:lastPrinted>2016-03-29T15:07:43Z</cp:lastPrinted>
  <dcterms:created xsi:type="dcterms:W3CDTF">2016-03-24T14:13:20Z</dcterms:created>
  <dcterms:modified xsi:type="dcterms:W3CDTF">2016-04-11T16:04:11Z</dcterms:modified>
</cp:coreProperties>
</file>